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hlgemv\Documents\Alter PC\HTW alt\Intense\Teaching Materials\Financial Plan\Fertige Materialien\"/>
    </mc:Choice>
  </mc:AlternateContent>
  <bookViews>
    <workbookView xWindow="0" yWindow="0" windowWidth="22092" windowHeight="6600" firstSheet="1" activeTab="4"/>
  </bookViews>
  <sheets>
    <sheet name="Title" sheetId="2" r:id="rId1"/>
    <sheet name="Scenario" sheetId="1" r:id="rId2"/>
    <sheet name="Financial Information Benchmark" sheetId="3" r:id="rId3"/>
    <sheet name="Financial Information" sheetId="4" r:id="rId4"/>
    <sheet name="Sales EBIT Forecast" sheetId="6" r:id="rId5"/>
    <sheet name="Assumption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3" l="1"/>
  <c r="D44" i="6"/>
  <c r="E44" i="6"/>
  <c r="F44" i="6"/>
  <c r="G44" i="6"/>
  <c r="H44" i="6"/>
  <c r="I44" i="6"/>
  <c r="C44" i="6"/>
  <c r="C44" i="4"/>
  <c r="C40" i="4"/>
  <c r="D38" i="6"/>
  <c r="E38" i="6"/>
  <c r="F38" i="6"/>
  <c r="G38" i="6"/>
  <c r="H38" i="6"/>
  <c r="I38" i="6"/>
  <c r="C38" i="6"/>
  <c r="D28" i="6"/>
  <c r="E28" i="6"/>
  <c r="F28" i="6"/>
  <c r="G28" i="6"/>
  <c r="H28" i="6"/>
  <c r="I28" i="6"/>
  <c r="C28" i="6"/>
  <c r="D27" i="6"/>
  <c r="E27" i="6"/>
  <c r="F27" i="6"/>
  <c r="G27" i="6"/>
  <c r="H27" i="6"/>
  <c r="I27" i="6"/>
  <c r="C27" i="6"/>
  <c r="D26" i="6"/>
  <c r="E26" i="6"/>
  <c r="F26" i="6"/>
  <c r="G26" i="6"/>
  <c r="H26" i="6"/>
  <c r="I26" i="6"/>
  <c r="C26" i="6"/>
  <c r="D25" i="6"/>
  <c r="E25" i="6"/>
  <c r="F25" i="6"/>
  <c r="G25" i="6"/>
  <c r="H25" i="6"/>
  <c r="I25" i="6"/>
  <c r="C25" i="6"/>
  <c r="D41" i="6"/>
  <c r="E41" i="6"/>
  <c r="F41" i="6"/>
  <c r="G41" i="6"/>
  <c r="H41" i="6"/>
  <c r="I41" i="6"/>
  <c r="D42" i="6"/>
  <c r="E42" i="6"/>
  <c r="F42" i="6"/>
  <c r="G42" i="6"/>
  <c r="H42" i="6"/>
  <c r="I42" i="6"/>
  <c r="C42" i="6"/>
  <c r="C41" i="6"/>
  <c r="C33" i="4"/>
  <c r="C30" i="4"/>
  <c r="C29" i="4"/>
  <c r="C27" i="4"/>
  <c r="C26" i="4"/>
  <c r="B21" i="4"/>
  <c r="C20" i="4"/>
  <c r="C21" i="4" s="1"/>
  <c r="B20" i="4"/>
  <c r="I22" i="6"/>
  <c r="F17" i="6"/>
  <c r="G17" i="6"/>
  <c r="H17" i="6"/>
  <c r="I18" i="6"/>
  <c r="I23" i="6" s="1"/>
  <c r="D18" i="6"/>
  <c r="D17" i="6"/>
  <c r="D30" i="6" s="1"/>
  <c r="C18" i="4"/>
  <c r="E18" i="6" s="1"/>
  <c r="C19" i="4"/>
  <c r="I17" i="6" s="1"/>
  <c r="I30" i="6" s="1"/>
  <c r="B19" i="4"/>
  <c r="B18" i="4"/>
  <c r="E16" i="6"/>
  <c r="F16" i="6"/>
  <c r="G16" i="6"/>
  <c r="H16" i="6"/>
  <c r="I16" i="6"/>
  <c r="D16" i="6"/>
  <c r="E9" i="3"/>
  <c r="F9" i="3" s="1"/>
  <c r="G9" i="3" s="1"/>
  <c r="H9" i="3" s="1"/>
  <c r="I9" i="3" s="1"/>
  <c r="J9" i="3" s="1"/>
  <c r="K9" i="3" s="1"/>
  <c r="L9" i="3" s="1"/>
  <c r="D9" i="3"/>
  <c r="C11" i="3"/>
  <c r="C12" i="3"/>
  <c r="B11" i="3"/>
  <c r="C10" i="3"/>
  <c r="B10" i="3"/>
  <c r="C9" i="3"/>
  <c r="B9" i="3"/>
  <c r="C8" i="3"/>
  <c r="B8" i="3"/>
  <c r="F31" i="6" l="1"/>
  <c r="G31" i="6"/>
  <c r="H31" i="6"/>
  <c r="I31" i="6"/>
  <c r="I34" i="6" s="1"/>
  <c r="C31" i="6"/>
  <c r="D31" i="6"/>
  <c r="E31" i="6"/>
  <c r="F30" i="6"/>
  <c r="H30" i="6"/>
  <c r="E20" i="6"/>
  <c r="E21" i="6" s="1"/>
  <c r="D22" i="6" s="1"/>
  <c r="D23" i="6" s="1"/>
  <c r="D34" i="6" s="1"/>
  <c r="H18" i="6"/>
  <c r="E17" i="6"/>
  <c r="E30" i="6" s="1"/>
  <c r="G18" i="6"/>
  <c r="D20" i="6"/>
  <c r="D21" i="6" s="1"/>
  <c r="C22" i="6" s="1"/>
  <c r="C23" i="6" s="1"/>
  <c r="C34" i="6" s="1"/>
  <c r="C37" i="6" s="1"/>
  <c r="F18" i="6"/>
  <c r="I20" i="6"/>
  <c r="I21" i="6" s="1"/>
  <c r="H22" i="6" s="1"/>
  <c r="G20" i="6" l="1"/>
  <c r="G21" i="6" s="1"/>
  <c r="F22" i="6" s="1"/>
  <c r="F23" i="6" s="1"/>
  <c r="F34" i="6" s="1"/>
  <c r="G23" i="6"/>
  <c r="G34" i="6" s="1"/>
  <c r="H20" i="6"/>
  <c r="H21" i="6" s="1"/>
  <c r="G22" i="6" s="1"/>
  <c r="H23" i="6"/>
  <c r="H34" i="6" s="1"/>
  <c r="F20" i="6"/>
  <c r="F21" i="6" s="1"/>
  <c r="E22" i="6" s="1"/>
  <c r="E23" i="6" s="1"/>
  <c r="E34" i="6" s="1"/>
  <c r="D37" i="6"/>
  <c r="G30" i="6"/>
  <c r="E37" i="6" l="1"/>
  <c r="F37" i="6" s="1"/>
  <c r="G37" i="6" s="1"/>
  <c r="H37" i="6" s="1"/>
  <c r="I37" i="6" s="1"/>
</calcChain>
</file>

<file path=xl/sharedStrings.xml><?xml version="1.0" encoding="utf-8"?>
<sst xmlns="http://schemas.openxmlformats.org/spreadsheetml/2006/main" count="94" uniqueCount="92">
  <si>
    <t>Scenario</t>
  </si>
  <si>
    <t>A German consumer electronics retailer (comparable to MediaSaturn) wants to enter Finland, with 10 stores next year</t>
  </si>
  <si>
    <t>An increase to 20 stores within the next 5 years is planned (2 additional stores per year)</t>
  </si>
  <si>
    <t>Your problem statement</t>
  </si>
  <si>
    <t>How much additional capital do we need (and at what point in time) to finance the expansion?</t>
  </si>
  <si>
    <t>Sales</t>
  </si>
  <si>
    <t>EBIT</t>
  </si>
  <si>
    <t>Locations</t>
  </si>
  <si>
    <t>2014/2015</t>
  </si>
  <si>
    <t>2015/2016</t>
  </si>
  <si>
    <t>Selling space</t>
  </si>
  <si>
    <t>Media–Saturn</t>
  </si>
  <si>
    <t>€ million</t>
  </si>
  <si>
    <t>2014/15</t>
  </si>
  <si>
    <t>2015/16</t>
  </si>
  <si>
    <t>External sales (net)</t>
  </si>
  <si>
    <t>Internal sales (net)</t>
  </si>
  <si>
    <t>Sales (net)</t>
  </si>
  <si>
    <t>Depreciation/amortisation/impairment losses</t>
  </si>
  <si>
    <t>Reversals of impairment losses</t>
  </si>
  <si>
    <t>Investments</t>
  </si>
  <si>
    <t>Segment assets</t>
  </si>
  <si>
    <t>thereof non-current</t>
  </si>
  <si>
    <t>Equity</t>
  </si>
  <si>
    <t>Sales/ sq m</t>
  </si>
  <si>
    <t>Sales/ Location</t>
  </si>
  <si>
    <t>Average store size</t>
  </si>
  <si>
    <t>EBIT/ Location</t>
  </si>
  <si>
    <t>EBIT/ Sales</t>
  </si>
  <si>
    <t>Year</t>
  </si>
  <si>
    <t>#stores</t>
  </si>
  <si>
    <t># stores under construction</t>
  </si>
  <si>
    <t>Stores</t>
  </si>
  <si>
    <t>construction work for stores starts 1 year prior to opening</t>
  </si>
  <si>
    <t>Sales per location equal the average sales per location of MediaSaturn</t>
  </si>
  <si>
    <t>2016/2017</t>
  </si>
  <si>
    <t>2017/2018</t>
  </si>
  <si>
    <t>Sales (adjusted for GDP growth)</t>
  </si>
  <si>
    <t>Sales per store growth similar to the GDP growth in Finland (Average of the last 6 years)</t>
  </si>
  <si>
    <t>Sales are collectable immediately</t>
  </si>
  <si>
    <t>EBIT/Sales</t>
  </si>
  <si>
    <t>EBITDA/Sales</t>
  </si>
  <si>
    <t>EBITDA (without set-up expenses)</t>
  </si>
  <si>
    <t>EBIT (without set-up expenses)</t>
  </si>
  <si>
    <t>Regular operating expenses</t>
  </si>
  <si>
    <t>Regular operating expenses per store</t>
  </si>
  <si>
    <t>Expenses</t>
  </si>
  <si>
    <t>Set-up expenses are 25% of the regular expenses of a store</t>
  </si>
  <si>
    <t>Set-up expenses (25% of the regular expenses per store)</t>
  </si>
  <si>
    <t>EBIT (with set-up expenses)</t>
  </si>
  <si>
    <t>Interests</t>
  </si>
  <si>
    <t>EBT</t>
  </si>
  <si>
    <t>Taxes</t>
  </si>
  <si>
    <t>Net Income</t>
  </si>
  <si>
    <t>Tax</t>
  </si>
  <si>
    <t>30% Income tax</t>
  </si>
  <si>
    <t>Net investment (in new stores)</t>
  </si>
  <si>
    <t>Free cash flow (before taxes)</t>
  </si>
  <si>
    <t>Regular reinvestment (equals depreciation)</t>
  </si>
  <si>
    <t>Assets</t>
  </si>
  <si>
    <t>the amount of reinvestment equals the amount of depreciation</t>
  </si>
  <si>
    <t>Assets/ Store</t>
  </si>
  <si>
    <t>Assets/ Store in Mio €</t>
  </si>
  <si>
    <t>Assets per store in Finland are equal to the current average assets per store</t>
  </si>
  <si>
    <t>All supportive assets (HQ, administration, logistics) are also set up</t>
  </si>
  <si>
    <t>Free cash flow (after taxes)</t>
  </si>
  <si>
    <t>Required investment before taxes</t>
  </si>
  <si>
    <t>Financing</t>
  </si>
  <si>
    <t>Operations are financed with the same debt/equity ratio of the current operations</t>
  </si>
  <si>
    <t>WACC are similar to current operations</t>
  </si>
  <si>
    <t>Financial liabilities</t>
  </si>
  <si>
    <t>Debt/ Equity ratio</t>
  </si>
  <si>
    <t>Equity ratio</t>
  </si>
  <si>
    <t>Debt ratio</t>
  </si>
  <si>
    <t>Interest rate</t>
  </si>
  <si>
    <t>Required equity before taxes</t>
  </si>
  <si>
    <t>Required debt before taxes</t>
  </si>
  <si>
    <t>no loss carryforward</t>
  </si>
  <si>
    <t>Cost of capital</t>
  </si>
  <si>
    <t>Required investment after taxes</t>
  </si>
  <si>
    <t xml:space="preserve">WACC before taxes </t>
  </si>
  <si>
    <t>WACC before taxes= rE*Equity ratio + rD*Debt ratio</t>
  </si>
  <si>
    <t>rE= (WACC before taxes - rD*Debt ratio)/Equity ratio</t>
  </si>
  <si>
    <t>rE</t>
  </si>
  <si>
    <t>WACC after taxes= rE*Equity ratio + rD*Debt ratio * (1-tax rate)</t>
  </si>
  <si>
    <t>WACC after taxes</t>
  </si>
  <si>
    <t>GDP Growth (average)</t>
  </si>
  <si>
    <r>
      <t>EBITDA</t>
    </r>
    <r>
      <rPr>
        <vertAlign val="superscript"/>
        <sz val="11"/>
        <color indexed="58"/>
        <rFont val="Calibri"/>
        <family val="2"/>
        <scheme val="minor"/>
      </rPr>
      <t>2</t>
    </r>
  </si>
  <si>
    <r>
      <t>EBITDA before special items</t>
    </r>
    <r>
      <rPr>
        <vertAlign val="superscript"/>
        <sz val="11"/>
        <color indexed="58"/>
        <rFont val="Calibri"/>
        <family val="2"/>
        <scheme val="minor"/>
      </rPr>
      <t>2</t>
    </r>
  </si>
  <si>
    <r>
      <t>EBIT</t>
    </r>
    <r>
      <rPr>
        <vertAlign val="superscript"/>
        <sz val="11"/>
        <color indexed="58"/>
        <rFont val="Calibri"/>
        <family val="2"/>
        <scheme val="minor"/>
      </rPr>
      <t>2</t>
    </r>
  </si>
  <si>
    <r>
      <t>EBIT before special items</t>
    </r>
    <r>
      <rPr>
        <vertAlign val="superscript"/>
        <sz val="11"/>
        <color indexed="58"/>
        <rFont val="Calibri"/>
        <family val="2"/>
        <scheme val="minor"/>
      </rPr>
      <t>2</t>
    </r>
  </si>
  <si>
    <t>Interest payments MetroGroup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</si>
</sst>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"/>
    <numFmt numFmtId="165" formatCode="0.00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58"/>
      <name val="Verdana"/>
      <family val="2"/>
    </font>
    <font>
      <sz val="11"/>
      <color indexed="58"/>
      <name val="Calibri"/>
      <family val="2"/>
      <scheme val="minor"/>
    </font>
    <font>
      <b/>
      <sz val="11"/>
      <color indexed="58"/>
      <name val="Calibri"/>
      <family val="2"/>
      <scheme val="minor"/>
    </font>
    <font>
      <vertAlign val="superscript"/>
      <sz val="11"/>
      <color indexed="5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ck">
        <color indexed="19"/>
      </left>
      <right style="thick">
        <color indexed="19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21"/>
      </bottom>
      <diagonal/>
    </border>
    <border>
      <left style="thick">
        <color indexed="19"/>
      </left>
      <right style="thick">
        <color indexed="19"/>
      </right>
      <top style="thick">
        <color indexed="19"/>
      </top>
      <bottom style="medium">
        <color indexed="21"/>
      </bottom>
      <diagonal/>
    </border>
    <border>
      <left style="thick">
        <color indexed="19"/>
      </left>
      <right style="thick">
        <color indexed="19"/>
      </right>
      <top style="thin">
        <color indexed="17"/>
      </top>
      <bottom style="medium">
        <color indexed="21"/>
      </bottom>
      <diagonal/>
    </border>
    <border>
      <left style="thin">
        <color indexed="17"/>
      </left>
      <right style="thin">
        <color indexed="17"/>
      </right>
      <top style="medium">
        <color indexed="21"/>
      </top>
      <bottom style="thin">
        <color indexed="17"/>
      </bottom>
      <diagonal/>
    </border>
    <border>
      <left style="thick">
        <color indexed="19"/>
      </left>
      <right style="thick">
        <color indexed="19"/>
      </right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ck">
        <color indexed="19"/>
      </left>
      <right style="thick">
        <color indexed="19"/>
      </right>
      <top style="thin">
        <color indexed="17"/>
      </top>
      <bottom style="thick">
        <color indexed="19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3" fontId="0" fillId="0" borderId="0" xfId="0" applyNumberFormat="1"/>
    <xf numFmtId="3" fontId="0" fillId="0" borderId="0" xfId="0" applyNumberFormat="1" applyFont="1"/>
    <xf numFmtId="0" fontId="0" fillId="0" borderId="0" xfId="0" applyBorder="1"/>
    <xf numFmtId="3" fontId="2" fillId="0" borderId="0" xfId="0" applyNumberFormat="1" applyFont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wrapText="1"/>
    </xf>
    <xf numFmtId="3" fontId="0" fillId="0" borderId="0" xfId="0" applyNumberFormat="1" applyFont="1" applyBorder="1"/>
    <xf numFmtId="3" fontId="0" fillId="0" borderId="0" xfId="0" applyNumberFormat="1" applyBorder="1"/>
    <xf numFmtId="10" fontId="0" fillId="0" borderId="0" xfId="0" applyNumberFormat="1" applyBorder="1"/>
    <xf numFmtId="0" fontId="0" fillId="0" borderId="0" xfId="0" applyFont="1"/>
    <xf numFmtId="10" fontId="0" fillId="0" borderId="0" xfId="0" applyNumberFormat="1" applyFont="1"/>
    <xf numFmtId="49" fontId="3" fillId="2" borderId="3" xfId="0" applyNumberFormat="1" applyFont="1" applyFill="1" applyBorder="1" applyAlignment="1">
      <alignment wrapText="1"/>
    </xf>
    <xf numFmtId="49" fontId="3" fillId="2" borderId="6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Border="1" applyAlignment="1">
      <alignment horizontal="center" wrapText="1"/>
    </xf>
    <xf numFmtId="49" fontId="3" fillId="2" borderId="7" xfId="0" applyNumberFormat="1" applyFont="1" applyFill="1" applyBorder="1" applyAlignment="1">
      <alignment wrapText="1"/>
    </xf>
    <xf numFmtId="49" fontId="3" fillId="2" borderId="9" xfId="0" applyNumberFormat="1" applyFont="1" applyFill="1" applyBorder="1" applyAlignment="1">
      <alignment horizontal="right" wrapText="1"/>
    </xf>
    <xf numFmtId="49" fontId="4" fillId="2" borderId="8" xfId="0" applyNumberFormat="1" applyFont="1" applyFill="1" applyBorder="1" applyAlignment="1">
      <alignment horizontal="right" wrapText="1"/>
    </xf>
    <xf numFmtId="49" fontId="3" fillId="0" borderId="10" xfId="0" applyNumberFormat="1" applyFont="1" applyBorder="1" applyAlignment="1">
      <alignment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vertical="center" wrapText="1"/>
    </xf>
    <xf numFmtId="1" fontId="3" fillId="0" borderId="13" xfId="0" applyNumberFormat="1" applyFont="1" applyBorder="1" applyAlignment="1">
      <alignment horizontal="right" vertical="center" wrapText="1"/>
    </xf>
    <xf numFmtId="1" fontId="4" fillId="0" borderId="2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 indent="1"/>
    </xf>
    <xf numFmtId="164" fontId="3" fillId="0" borderId="13" xfId="0" applyNumberFormat="1" applyFont="1" applyBorder="1" applyAlignment="1">
      <alignment horizontal="right" vertical="center" wrapText="1"/>
    </xf>
    <xf numFmtId="164" fontId="4" fillId="0" borderId="14" xfId="0" applyNumberFormat="1" applyFont="1" applyBorder="1" applyAlignment="1">
      <alignment horizontal="right" vertical="center" wrapText="1"/>
    </xf>
    <xf numFmtId="49" fontId="3" fillId="0" borderId="0" xfId="0" applyNumberFormat="1" applyFont="1" applyBorder="1" applyAlignment="1">
      <alignment horizontal="left" vertical="center" wrapText="1" indent="1"/>
    </xf>
    <xf numFmtId="164" fontId="3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left" vertical="center" wrapText="1" indent="1"/>
    </xf>
    <xf numFmtId="49" fontId="3" fillId="2" borderId="4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99060</xdr:rowOff>
    </xdr:from>
    <xdr:to>
      <xdr:col>21</xdr:col>
      <xdr:colOff>365760</xdr:colOff>
      <xdr:row>40</xdr:row>
      <xdr:rowOff>94534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99060"/>
          <a:ext cx="12954000" cy="7310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A26" sqref="AA26"/>
    </sheetView>
  </sheetViews>
  <sheetFormatPr baseColWidth="10" defaultColWidth="8.88671875"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zoomScale="115" zoomScaleNormal="115" workbookViewId="0">
      <selection activeCell="A3" sqref="A3"/>
    </sheetView>
  </sheetViews>
  <sheetFormatPr baseColWidth="10" defaultColWidth="8.88671875" defaultRowHeight="14.4" x14ac:dyDescent="0.3"/>
  <sheetData>
    <row r="2" spans="1:1" x14ac:dyDescent="0.3">
      <c r="A2" s="1" t="s">
        <v>0</v>
      </c>
    </row>
    <row r="3" spans="1:1" x14ac:dyDescent="0.3">
      <c r="A3" t="s">
        <v>1</v>
      </c>
    </row>
    <row r="4" spans="1:1" x14ac:dyDescent="0.3">
      <c r="A4" t="s">
        <v>2</v>
      </c>
    </row>
    <row r="6" spans="1:1" x14ac:dyDescent="0.3">
      <c r="A6" s="1" t="s">
        <v>3</v>
      </c>
    </row>
    <row r="7" spans="1:1" x14ac:dyDescent="0.3">
      <c r="A7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145" zoomScaleNormal="145" workbookViewId="0">
      <selection activeCell="A14" sqref="A14"/>
    </sheetView>
  </sheetViews>
  <sheetFormatPr baseColWidth="10" defaultColWidth="8.88671875" defaultRowHeight="14.4" x14ac:dyDescent="0.3"/>
  <cols>
    <col min="1" max="1" width="19.77734375" bestFit="1" customWidth="1"/>
    <col min="2" max="3" width="16.5546875" bestFit="1" customWidth="1"/>
    <col min="4" max="7" width="12.77734375" bestFit="1" customWidth="1"/>
    <col min="8" max="8" width="10.5546875" bestFit="1" customWidth="1"/>
    <col min="9" max="12" width="12.77734375" bestFit="1" customWidth="1"/>
  </cols>
  <sheetData>
    <row r="1" spans="1:13" x14ac:dyDescent="0.3">
      <c r="A1" s="4"/>
      <c r="B1" s="4" t="s">
        <v>8</v>
      </c>
      <c r="C1" s="4" t="s">
        <v>9</v>
      </c>
      <c r="D1" s="4" t="s">
        <v>35</v>
      </c>
      <c r="E1" s="4" t="s">
        <v>36</v>
      </c>
      <c r="F1" s="4"/>
      <c r="G1" s="4"/>
      <c r="H1" s="4"/>
      <c r="I1" s="4"/>
      <c r="J1" s="4"/>
      <c r="K1" s="4"/>
      <c r="L1" s="4"/>
      <c r="M1" s="4"/>
    </row>
    <row r="2" spans="1:13" x14ac:dyDescent="0.3">
      <c r="A2" s="4" t="s">
        <v>5</v>
      </c>
      <c r="B2" s="5">
        <v>21737000000</v>
      </c>
      <c r="C2" s="5">
        <v>21869000000</v>
      </c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3">
      <c r="A3" s="4" t="s">
        <v>6</v>
      </c>
      <c r="B3" s="6">
        <v>442000000</v>
      </c>
      <c r="C3" s="5">
        <v>454000000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3">
      <c r="A4" s="4" t="s">
        <v>7</v>
      </c>
      <c r="B4" s="7">
        <v>1007</v>
      </c>
      <c r="C4" s="7">
        <v>1023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3">
      <c r="A5" s="4" t="s">
        <v>10</v>
      </c>
      <c r="B5" s="7">
        <v>3034000</v>
      </c>
      <c r="C5" s="7">
        <v>2976000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3">
      <c r="A8" s="4" t="s">
        <v>24</v>
      </c>
      <c r="B8" s="8">
        <f>B2/B5</f>
        <v>7164.469347396177</v>
      </c>
      <c r="C8" s="8">
        <f>C2/C5</f>
        <v>7348.4543010752686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3">
      <c r="A9" s="4" t="s">
        <v>25</v>
      </c>
      <c r="B9" s="8">
        <f>B2/B4</f>
        <v>21585898.709036741</v>
      </c>
      <c r="C9" s="8">
        <f>C2/C4</f>
        <v>21377321.603128053</v>
      </c>
      <c r="D9" s="8">
        <f>C9*(1+$B$15)</f>
        <v>21427583.972811755</v>
      </c>
      <c r="E9" s="8">
        <f t="shared" ref="E9:L9" si="0">D9*(1+$B$15)</f>
        <v>21477964.519405227</v>
      </c>
      <c r="F9" s="8">
        <f t="shared" si="0"/>
        <v>21528463.520766079</v>
      </c>
      <c r="G9" s="8">
        <f t="shared" si="0"/>
        <v>21579081.255405225</v>
      </c>
      <c r="H9" s="8">
        <f t="shared" si="0"/>
        <v>21629818.002488408</v>
      </c>
      <c r="I9" s="8">
        <f t="shared" si="0"/>
        <v>21680674.041837752</v>
      </c>
      <c r="J9" s="8">
        <f t="shared" si="0"/>
        <v>21731649.653933294</v>
      </c>
      <c r="K9" s="8">
        <f t="shared" si="0"/>
        <v>21782745.119914535</v>
      </c>
      <c r="L9" s="8">
        <f t="shared" si="0"/>
        <v>21833960.721581995</v>
      </c>
      <c r="M9" s="4"/>
    </row>
    <row r="10" spans="1:13" x14ac:dyDescent="0.3">
      <c r="A10" s="4" t="s">
        <v>26</v>
      </c>
      <c r="B10" s="8">
        <f>B5/B4</f>
        <v>3012.9096325719961</v>
      </c>
      <c r="C10" s="8">
        <f>C5/C4</f>
        <v>2909.090909090909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3">
      <c r="A11" s="4" t="s">
        <v>27</v>
      </c>
      <c r="B11" s="8">
        <f>B3/B4</f>
        <v>438927.50744786492</v>
      </c>
      <c r="C11" s="8">
        <f>C3/C4</f>
        <v>443792.76637341152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3">
      <c r="A12" s="4" t="s">
        <v>28</v>
      </c>
      <c r="B12" s="9">
        <f>B3/B2</f>
        <v>2.0333992731287664E-2</v>
      </c>
      <c r="C12" s="9">
        <f>C3/C2</f>
        <v>2.0759979880195709E-2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3">
      <c r="A15" s="4" t="s">
        <v>86</v>
      </c>
      <c r="B15" s="9">
        <v>2.3512005206652699E-3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22" zoomScale="175" zoomScaleNormal="175" workbookViewId="0">
      <selection activeCell="E38" sqref="E38"/>
    </sheetView>
  </sheetViews>
  <sheetFormatPr baseColWidth="10" defaultColWidth="8.88671875" defaultRowHeight="14.4" x14ac:dyDescent="0.3"/>
  <cols>
    <col min="1" max="1" width="23.88671875" customWidth="1"/>
    <col min="2" max="2" width="17.33203125" bestFit="1" customWidth="1"/>
    <col min="3" max="3" width="20.21875" bestFit="1" customWidth="1"/>
  </cols>
  <sheetData>
    <row r="1" spans="1:3" ht="14.4" customHeight="1" x14ac:dyDescent="0.3">
      <c r="A1" s="12"/>
      <c r="B1" s="36" t="s">
        <v>11</v>
      </c>
      <c r="C1" s="37"/>
    </row>
    <row r="2" spans="1:3" ht="15" thickBot="1" x14ac:dyDescent="0.35">
      <c r="A2" s="12"/>
      <c r="B2" s="13"/>
      <c r="C2" s="14"/>
    </row>
    <row r="3" spans="1:3" ht="15.6" thickTop="1" thickBot="1" x14ac:dyDescent="0.35">
      <c r="A3" s="15" t="s">
        <v>12</v>
      </c>
      <c r="B3" s="16" t="s">
        <v>13</v>
      </c>
      <c r="C3" s="17" t="s">
        <v>14</v>
      </c>
    </row>
    <row r="4" spans="1:3" x14ac:dyDescent="0.3">
      <c r="A4" s="18" t="s">
        <v>15</v>
      </c>
      <c r="B4" s="19">
        <v>21737</v>
      </c>
      <c r="C4" s="20">
        <v>21869</v>
      </c>
    </row>
    <row r="5" spans="1:3" x14ac:dyDescent="0.3">
      <c r="A5" s="21" t="s">
        <v>16</v>
      </c>
      <c r="B5" s="22">
        <v>2</v>
      </c>
      <c r="C5" s="23">
        <v>2</v>
      </c>
    </row>
    <row r="6" spans="1:3" x14ac:dyDescent="0.3">
      <c r="A6" s="21" t="s">
        <v>17</v>
      </c>
      <c r="B6" s="24">
        <v>21738</v>
      </c>
      <c r="C6" s="25">
        <v>21870</v>
      </c>
    </row>
    <row r="7" spans="1:3" ht="16.2" x14ac:dyDescent="0.3">
      <c r="A7" s="21" t="s">
        <v>87</v>
      </c>
      <c r="B7" s="22">
        <v>595</v>
      </c>
      <c r="C7" s="23">
        <v>607</v>
      </c>
    </row>
    <row r="8" spans="1:3" ht="30.6" x14ac:dyDescent="0.3">
      <c r="A8" s="21" t="s">
        <v>88</v>
      </c>
      <c r="B8" s="22">
        <v>685</v>
      </c>
      <c r="C8" s="23">
        <v>708</v>
      </c>
    </row>
    <row r="9" spans="1:3" ht="28.8" x14ac:dyDescent="0.3">
      <c r="A9" s="21" t="s">
        <v>18</v>
      </c>
      <c r="B9" s="22">
        <v>267</v>
      </c>
      <c r="C9" s="23">
        <v>313</v>
      </c>
    </row>
    <row r="10" spans="1:3" ht="28.8" x14ac:dyDescent="0.3">
      <c r="A10" s="21" t="s">
        <v>19</v>
      </c>
      <c r="B10" s="22">
        <v>7</v>
      </c>
      <c r="C10" s="23">
        <v>6</v>
      </c>
    </row>
    <row r="11" spans="1:3" ht="16.2" x14ac:dyDescent="0.3">
      <c r="A11" s="26" t="s">
        <v>89</v>
      </c>
      <c r="B11" s="22">
        <v>336</v>
      </c>
      <c r="C11" s="23">
        <v>300</v>
      </c>
    </row>
    <row r="12" spans="1:3" ht="16.2" x14ac:dyDescent="0.3">
      <c r="A12" s="26" t="s">
        <v>90</v>
      </c>
      <c r="B12" s="22">
        <v>442</v>
      </c>
      <c r="C12" s="23">
        <v>454</v>
      </c>
    </row>
    <row r="13" spans="1:3" x14ac:dyDescent="0.3">
      <c r="A13" s="26" t="s">
        <v>20</v>
      </c>
      <c r="B13" s="22">
        <v>256</v>
      </c>
      <c r="C13" s="23">
        <v>406</v>
      </c>
    </row>
    <row r="14" spans="1:3" x14ac:dyDescent="0.3">
      <c r="A14" s="21" t="s">
        <v>21</v>
      </c>
      <c r="B14" s="24">
        <v>5296</v>
      </c>
      <c r="C14" s="25">
        <v>5621</v>
      </c>
    </row>
    <row r="15" spans="1:3" ht="15" thickBot="1" x14ac:dyDescent="0.35">
      <c r="A15" s="27" t="s">
        <v>22</v>
      </c>
      <c r="B15" s="28">
        <v>-1464</v>
      </c>
      <c r="C15" s="29">
        <v>-1532</v>
      </c>
    </row>
    <row r="16" spans="1:3" ht="15" thickTop="1" x14ac:dyDescent="0.3">
      <c r="A16" s="30"/>
      <c r="B16" s="31"/>
      <c r="C16" s="32"/>
    </row>
    <row r="17" spans="1:3" x14ac:dyDescent="0.3">
      <c r="A17" s="30"/>
      <c r="B17" s="31"/>
      <c r="C17" s="32"/>
    </row>
    <row r="18" spans="1:3" x14ac:dyDescent="0.3">
      <c r="A18" s="30" t="s">
        <v>40</v>
      </c>
      <c r="B18" s="33">
        <f>B11/B6</f>
        <v>1.5456803753795198E-2</v>
      </c>
      <c r="C18" s="33">
        <f>C11/C6</f>
        <v>1.3717421124828532E-2</v>
      </c>
    </row>
    <row r="19" spans="1:3" x14ac:dyDescent="0.3">
      <c r="A19" s="30" t="s">
        <v>41</v>
      </c>
      <c r="B19" s="33">
        <f>B7/B6</f>
        <v>2.7371423314012329E-2</v>
      </c>
      <c r="C19" s="33">
        <f>C7/C6</f>
        <v>2.7754915409236396E-2</v>
      </c>
    </row>
    <row r="20" spans="1:3" x14ac:dyDescent="0.3">
      <c r="A20" s="30" t="s">
        <v>62</v>
      </c>
      <c r="B20" s="34">
        <f>B14/'Financial Information Benchmark'!B4</f>
        <v>5.2591857000993052</v>
      </c>
      <c r="C20" s="34">
        <f>C14/'Financial Information Benchmark'!C4</f>
        <v>5.4946236559139781</v>
      </c>
    </row>
    <row r="21" spans="1:3" x14ac:dyDescent="0.3">
      <c r="A21" s="35" t="s">
        <v>61</v>
      </c>
      <c r="B21" s="3">
        <f>B20*1000000</f>
        <v>5259185.7000993052</v>
      </c>
      <c r="C21" s="3">
        <f>C20*1000000</f>
        <v>5494623.6559139779</v>
      </c>
    </row>
    <row r="22" spans="1:3" x14ac:dyDescent="0.3">
      <c r="A22" s="10"/>
      <c r="B22" s="10"/>
      <c r="C22" s="10"/>
    </row>
    <row r="23" spans="1:3" x14ac:dyDescent="0.3">
      <c r="A23" s="10"/>
      <c r="B23" s="10"/>
      <c r="C23" s="10"/>
    </row>
    <row r="24" spans="1:3" x14ac:dyDescent="0.3">
      <c r="A24" s="10"/>
      <c r="B24" s="10"/>
      <c r="C24" s="10"/>
    </row>
    <row r="25" spans="1:3" x14ac:dyDescent="0.3">
      <c r="A25" s="10" t="s">
        <v>23</v>
      </c>
      <c r="B25" s="10"/>
      <c r="C25" s="3">
        <v>5332000000</v>
      </c>
    </row>
    <row r="26" spans="1:3" x14ac:dyDescent="0.3">
      <c r="A26" s="10" t="s">
        <v>70</v>
      </c>
      <c r="B26" s="10"/>
      <c r="C26" s="3">
        <f>3812000000+947000000</f>
        <v>4759000000</v>
      </c>
    </row>
    <row r="27" spans="1:3" x14ac:dyDescent="0.3">
      <c r="A27" s="10" t="s">
        <v>71</v>
      </c>
      <c r="B27" s="10"/>
      <c r="C27" s="10">
        <f>C26/C25</f>
        <v>0.89253563390847712</v>
      </c>
    </row>
    <row r="28" spans="1:3" x14ac:dyDescent="0.3">
      <c r="A28" s="10"/>
      <c r="B28" s="10"/>
      <c r="C28" s="10"/>
    </row>
    <row r="29" spans="1:3" x14ac:dyDescent="0.3">
      <c r="A29" s="10" t="s">
        <v>72</v>
      </c>
      <c r="B29" s="10"/>
      <c r="C29" s="11">
        <f>C25/(C25+C26)</f>
        <v>0.5283916361113864</v>
      </c>
    </row>
    <row r="30" spans="1:3" x14ac:dyDescent="0.3">
      <c r="A30" s="10" t="s">
        <v>73</v>
      </c>
      <c r="B30" s="10"/>
      <c r="C30" s="11">
        <f>C26/(C25+C26)</f>
        <v>0.4716083638886136</v>
      </c>
    </row>
    <row r="31" spans="1:3" x14ac:dyDescent="0.3">
      <c r="A31" s="10"/>
      <c r="B31" s="10"/>
      <c r="C31" s="10"/>
    </row>
    <row r="32" spans="1:3" x14ac:dyDescent="0.3">
      <c r="A32" s="10" t="s">
        <v>91</v>
      </c>
      <c r="B32" s="10"/>
      <c r="C32" s="3">
        <v>314000000</v>
      </c>
    </row>
    <row r="33" spans="1:3" x14ac:dyDescent="0.3">
      <c r="A33" s="10" t="s">
        <v>74</v>
      </c>
      <c r="B33" s="10"/>
      <c r="C33" s="11">
        <f>C32/C26</f>
        <v>6.5980247951250265E-2</v>
      </c>
    </row>
    <row r="34" spans="1:3" x14ac:dyDescent="0.3">
      <c r="A34" s="10"/>
      <c r="B34" s="10"/>
      <c r="C34" s="10"/>
    </row>
    <row r="35" spans="1:3" x14ac:dyDescent="0.3">
      <c r="A35" s="10" t="s">
        <v>80</v>
      </c>
      <c r="B35" s="10"/>
      <c r="C35" s="11">
        <v>0.08</v>
      </c>
    </row>
    <row r="36" spans="1:3" x14ac:dyDescent="0.3">
      <c r="A36" s="10"/>
      <c r="B36" s="10"/>
      <c r="C36" s="10"/>
    </row>
    <row r="37" spans="1:3" x14ac:dyDescent="0.3">
      <c r="A37" s="10" t="s">
        <v>81</v>
      </c>
      <c r="B37" s="10"/>
      <c r="C37" s="10"/>
    </row>
    <row r="38" spans="1:3" x14ac:dyDescent="0.3">
      <c r="A38" s="10" t="s">
        <v>82</v>
      </c>
      <c r="B38" s="10"/>
      <c r="C38" s="10"/>
    </row>
    <row r="39" spans="1:3" x14ac:dyDescent="0.3">
      <c r="A39" s="10"/>
      <c r="B39" s="10"/>
      <c r="C39" s="10"/>
    </row>
    <row r="40" spans="1:3" x14ac:dyDescent="0.3">
      <c r="A40" s="10" t="s">
        <v>83</v>
      </c>
      <c r="B40" s="10"/>
      <c r="C40" s="11">
        <f>(C35-C33*C30)/C29</f>
        <v>9.2513128282070506E-2</v>
      </c>
    </row>
    <row r="41" spans="1:3" x14ac:dyDescent="0.3">
      <c r="A41" s="10"/>
      <c r="B41" s="10"/>
      <c r="C41" s="10"/>
    </row>
    <row r="42" spans="1:3" x14ac:dyDescent="0.3">
      <c r="A42" s="10" t="s">
        <v>84</v>
      </c>
      <c r="B42" s="10"/>
      <c r="C42" s="10"/>
    </row>
    <row r="43" spans="1:3" x14ac:dyDescent="0.3">
      <c r="A43" s="10"/>
      <c r="B43" s="10"/>
      <c r="C43" s="10"/>
    </row>
    <row r="44" spans="1:3" x14ac:dyDescent="0.3">
      <c r="A44" s="10" t="s">
        <v>85</v>
      </c>
      <c r="B44" s="10"/>
      <c r="C44" s="11">
        <f>C40*C29+C33*C30*(1-0.3)</f>
        <v>7.0664948964423741E-2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4"/>
  <sheetViews>
    <sheetView tabSelected="1" topLeftCell="A27" zoomScale="146" zoomScaleNormal="146" workbookViewId="0">
      <selection activeCell="B46" sqref="B46"/>
    </sheetView>
  </sheetViews>
  <sheetFormatPr baseColWidth="10" defaultColWidth="8.88671875" defaultRowHeight="14.4" x14ac:dyDescent="0.3"/>
  <cols>
    <col min="2" max="2" width="39.44140625" customWidth="1"/>
    <col min="3" max="9" width="12.21875" bestFit="1" customWidth="1"/>
  </cols>
  <sheetData>
    <row r="1" spans="2:9" x14ac:dyDescent="0.3">
      <c r="B1" t="s">
        <v>29</v>
      </c>
      <c r="C1">
        <v>2017</v>
      </c>
      <c r="D1">
        <v>2018</v>
      </c>
      <c r="E1">
        <v>2019</v>
      </c>
      <c r="F1">
        <v>2020</v>
      </c>
      <c r="G1">
        <v>2021</v>
      </c>
      <c r="H1">
        <v>2022</v>
      </c>
      <c r="I1">
        <v>2023</v>
      </c>
    </row>
    <row r="2" spans="2:9" x14ac:dyDescent="0.3">
      <c r="B2" t="s">
        <v>29</v>
      </c>
      <c r="C2">
        <v>0</v>
      </c>
      <c r="D2">
        <v>1</v>
      </c>
      <c r="E2">
        <v>2</v>
      </c>
      <c r="F2">
        <v>3</v>
      </c>
      <c r="G2">
        <v>4</v>
      </c>
      <c r="H2">
        <v>5</v>
      </c>
      <c r="I2">
        <v>6</v>
      </c>
    </row>
    <row r="5" spans="2:9" x14ac:dyDescent="0.3">
      <c r="B5" t="s">
        <v>30</v>
      </c>
      <c r="D5">
        <v>10</v>
      </c>
      <c r="E5">
        <v>12</v>
      </c>
      <c r="F5">
        <v>14</v>
      </c>
      <c r="G5">
        <v>16</v>
      </c>
      <c r="H5">
        <v>18</v>
      </c>
      <c r="I5">
        <v>20</v>
      </c>
    </row>
    <row r="6" spans="2:9" x14ac:dyDescent="0.3">
      <c r="B6" t="s">
        <v>31</v>
      </c>
      <c r="C6">
        <v>10</v>
      </c>
      <c r="D6">
        <v>2</v>
      </c>
      <c r="E6">
        <v>2</v>
      </c>
      <c r="F6">
        <v>2</v>
      </c>
      <c r="G6">
        <v>2</v>
      </c>
      <c r="H6">
        <v>2</v>
      </c>
      <c r="I6">
        <v>0</v>
      </c>
    </row>
    <row r="16" spans="2:9" x14ac:dyDescent="0.3">
      <c r="B16" t="s">
        <v>37</v>
      </c>
      <c r="C16" s="2"/>
      <c r="D16" s="2">
        <f>D5*'Financial Information Benchmark'!C9</f>
        <v>213773216.03128052</v>
      </c>
      <c r="E16" s="2">
        <f>E5*'Financial Information Benchmark'!D9</f>
        <v>257131007.67374104</v>
      </c>
      <c r="F16" s="2">
        <f>F5*'Financial Information Benchmark'!E9</f>
        <v>300691503.2716732</v>
      </c>
      <c r="G16" s="2">
        <f>G5*'Financial Information Benchmark'!F9</f>
        <v>344455416.33225727</v>
      </c>
      <c r="H16" s="2">
        <f>H5*'Financial Information Benchmark'!G9</f>
        <v>388423462.59729403</v>
      </c>
      <c r="I16" s="2">
        <f>I5*'Financial Information Benchmark'!H9</f>
        <v>432596360.04976815</v>
      </c>
    </row>
    <row r="17" spans="2:9" x14ac:dyDescent="0.3">
      <c r="B17" t="s">
        <v>42</v>
      </c>
      <c r="C17" s="2"/>
      <c r="D17" s="2">
        <f>D16*'Financial Information'!$C$19</f>
        <v>5933257.5277086087</v>
      </c>
      <c r="E17" s="2">
        <f>E16*'Financial Information'!$C$19</f>
        <v>7136649.3670763969</v>
      </c>
      <c r="F17" s="2">
        <f>F16*'Financial Information'!$C$19</f>
        <v>8345667.2375814188</v>
      </c>
      <c r="G17" s="2">
        <f>G16*'Financial Information'!$C$19</f>
        <v>9560330.9425551053</v>
      </c>
      <c r="H17" s="2">
        <f>H16*'Financial Information'!$C$19</f>
        <v>10780660.347350594</v>
      </c>
      <c r="I17" s="2">
        <f>I16*'Financial Information'!$C$19</f>
        <v>12006675.379524887</v>
      </c>
    </row>
    <row r="18" spans="2:9" x14ac:dyDescent="0.3">
      <c r="B18" t="s">
        <v>43</v>
      </c>
      <c r="C18" s="2"/>
      <c r="D18" s="2">
        <f>D16*'Financial Information'!$C$18</f>
        <v>2932417.2295100205</v>
      </c>
      <c r="E18" s="2">
        <f>E16*'Financial Information'!$C$18</f>
        <v>3527174.3165122229</v>
      </c>
      <c r="F18" s="2">
        <f>F16*'Financial Information'!$C$18</f>
        <v>4124711.9790352974</v>
      </c>
      <c r="G18" s="2">
        <f>G16*'Financial Information'!$C$18</f>
        <v>4725040.0045577129</v>
      </c>
      <c r="H18" s="2">
        <f>H16*'Financial Information'!$C$18</f>
        <v>5328168.2112111663</v>
      </c>
      <c r="I18" s="2">
        <f>I16*'Financial Information'!$C$18</f>
        <v>5934106.4478706187</v>
      </c>
    </row>
    <row r="19" spans="2:9" x14ac:dyDescent="0.3">
      <c r="C19" s="2"/>
      <c r="D19" s="2"/>
      <c r="E19" s="2"/>
      <c r="F19" s="2"/>
      <c r="G19" s="2"/>
      <c r="H19" s="2"/>
      <c r="I19" s="2"/>
    </row>
    <row r="20" spans="2:9" x14ac:dyDescent="0.3">
      <c r="B20" t="s">
        <v>44</v>
      </c>
      <c r="C20" s="2"/>
      <c r="D20" s="2">
        <f>D16-D18</f>
        <v>210840798.80177051</v>
      </c>
      <c r="E20" s="2">
        <f t="shared" ref="E20:I20" si="0">E16-E18</f>
        <v>253603833.35722882</v>
      </c>
      <c r="F20" s="2">
        <f t="shared" si="0"/>
        <v>296566791.29263788</v>
      </c>
      <c r="G20" s="2">
        <f t="shared" si="0"/>
        <v>339730376.32769954</v>
      </c>
      <c r="H20" s="2">
        <f t="shared" si="0"/>
        <v>383095294.38608289</v>
      </c>
      <c r="I20" s="2">
        <f t="shared" si="0"/>
        <v>426662253.60189754</v>
      </c>
    </row>
    <row r="21" spans="2:9" x14ac:dyDescent="0.3">
      <c r="B21" t="s">
        <v>45</v>
      </c>
      <c r="C21" s="2"/>
      <c r="D21" s="2">
        <f>D20/D5</f>
        <v>21084079.880177051</v>
      </c>
      <c r="E21" s="2">
        <f t="shared" ref="E21:I21" si="1">E20/E5</f>
        <v>21133652.779769067</v>
      </c>
      <c r="F21" s="2">
        <f t="shared" si="1"/>
        <v>21183342.235188421</v>
      </c>
      <c r="G21" s="2">
        <f t="shared" si="1"/>
        <v>21233148.520481221</v>
      </c>
      <c r="H21" s="2">
        <f t="shared" si="1"/>
        <v>21283071.91033794</v>
      </c>
      <c r="I21" s="2">
        <f t="shared" si="1"/>
        <v>21333112.680094875</v>
      </c>
    </row>
    <row r="22" spans="2:9" x14ac:dyDescent="0.3">
      <c r="B22" t="s">
        <v>48</v>
      </c>
      <c r="C22" s="2">
        <f>C6*D21*0.25</f>
        <v>52710199.700442627</v>
      </c>
      <c r="D22" s="2">
        <f t="shared" ref="D22:I22" si="2">D6*E21*0.25</f>
        <v>10566826.389884533</v>
      </c>
      <c r="E22" s="2">
        <f t="shared" si="2"/>
        <v>10591671.11759421</v>
      </c>
      <c r="F22" s="2">
        <f t="shared" si="2"/>
        <v>10616574.260240611</v>
      </c>
      <c r="G22" s="2">
        <f t="shared" si="2"/>
        <v>10641535.95516897</v>
      </c>
      <c r="H22" s="2">
        <f t="shared" si="2"/>
        <v>10666556.340047438</v>
      </c>
      <c r="I22" s="2">
        <f t="shared" si="2"/>
        <v>0</v>
      </c>
    </row>
    <row r="23" spans="2:9" x14ac:dyDescent="0.3">
      <c r="B23" t="s">
        <v>49</v>
      </c>
      <c r="C23" s="2">
        <f>C18-C22</f>
        <v>-52710199.700442627</v>
      </c>
      <c r="D23" s="2">
        <f t="shared" ref="D23:I23" si="3">D18-D22</f>
        <v>-7634409.1603745129</v>
      </c>
      <c r="E23" s="2">
        <f t="shared" si="3"/>
        <v>-7064496.8010819871</v>
      </c>
      <c r="F23" s="2">
        <f t="shared" si="3"/>
        <v>-6491862.2812053133</v>
      </c>
      <c r="G23" s="2">
        <f t="shared" si="3"/>
        <v>-5916495.950611257</v>
      </c>
      <c r="H23" s="2">
        <f t="shared" si="3"/>
        <v>-5338388.1288362714</v>
      </c>
      <c r="I23" s="2">
        <f t="shared" si="3"/>
        <v>5934106.4478706187</v>
      </c>
    </row>
    <row r="25" spans="2:9" x14ac:dyDescent="0.3">
      <c r="B25" t="s">
        <v>50</v>
      </c>
      <c r="C25" s="2">
        <f>'Financial Information'!$C$33*'Sales EBIT Forecast'!C42</f>
        <v>-3349927.7559715463</v>
      </c>
      <c r="D25" s="2">
        <f>'Financial Information'!$C$33*'Sales EBIT Forecast'!D42</f>
        <v>-3929437.0347617134</v>
      </c>
      <c r="E25" s="2">
        <f>'Financial Information'!$C$33*'Sales EBIT Forecast'!E42</f>
        <v>-4491212.4436858753</v>
      </c>
      <c r="F25" s="2">
        <f>'Financial Information'!$C$33*'Sales EBIT Forecast'!F42</f>
        <v>-5035169.277717432</v>
      </c>
      <c r="G25" s="2">
        <f>'Financial Information'!$C$33*'Sales EBIT Forecast'!G42</f>
        <v>-5561222.5315481639</v>
      </c>
      <c r="H25" s="2">
        <f>'Financial Information'!$C$33*'Sales EBIT Forecast'!H42</f>
        <v>-6069286.8986444445</v>
      </c>
      <c r="I25" s="2">
        <f>'Financial Information'!$C$33*'Sales EBIT Forecast'!I42</f>
        <v>-5884636.2768397303</v>
      </c>
    </row>
    <row r="26" spans="2:9" x14ac:dyDescent="0.3">
      <c r="B26" t="s">
        <v>51</v>
      </c>
      <c r="C26" s="2">
        <f>C23-C25</f>
        <v>-49360271.944471084</v>
      </c>
      <c r="D26" s="2">
        <f t="shared" ref="D26:I26" si="4">D23-D25</f>
        <v>-3704972.1256127995</v>
      </c>
      <c r="E26" s="2">
        <f t="shared" si="4"/>
        <v>-2573284.3573961118</v>
      </c>
      <c r="F26" s="2">
        <f t="shared" si="4"/>
        <v>-1456693.0034878813</v>
      </c>
      <c r="G26" s="2">
        <f t="shared" si="4"/>
        <v>-355273.41906309314</v>
      </c>
      <c r="H26" s="2">
        <f t="shared" si="4"/>
        <v>730898.76980817318</v>
      </c>
      <c r="I26" s="2">
        <f t="shared" si="4"/>
        <v>11818742.724710349</v>
      </c>
    </row>
    <row r="27" spans="2:9" x14ac:dyDescent="0.3">
      <c r="B27" t="s">
        <v>52</v>
      </c>
      <c r="C27" s="2">
        <f>IF(C26&lt;0,0,C26*0.3)</f>
        <v>0</v>
      </c>
      <c r="D27" s="2">
        <f t="shared" ref="D27:I27" si="5">IF(D26&lt;0,0,D26*0.3)</f>
        <v>0</v>
      </c>
      <c r="E27" s="2">
        <f t="shared" si="5"/>
        <v>0</v>
      </c>
      <c r="F27" s="2">
        <f t="shared" si="5"/>
        <v>0</v>
      </c>
      <c r="G27" s="2">
        <f t="shared" si="5"/>
        <v>0</v>
      </c>
      <c r="H27" s="2">
        <f t="shared" si="5"/>
        <v>219269.63094245194</v>
      </c>
      <c r="I27" s="2">
        <f t="shared" si="5"/>
        <v>3545622.8174131047</v>
      </c>
    </row>
    <row r="28" spans="2:9" x14ac:dyDescent="0.3">
      <c r="B28" t="s">
        <v>53</v>
      </c>
      <c r="C28" s="2">
        <f>C26-C27</f>
        <v>-49360271.944471084</v>
      </c>
      <c r="D28" s="2">
        <f t="shared" ref="D28:I28" si="6">D26-D27</f>
        <v>-3704972.1256127995</v>
      </c>
      <c r="E28" s="2">
        <f t="shared" si="6"/>
        <v>-2573284.3573961118</v>
      </c>
      <c r="F28" s="2">
        <f t="shared" si="6"/>
        <v>-1456693.0034878813</v>
      </c>
      <c r="G28" s="2">
        <f t="shared" si="6"/>
        <v>-355273.41906309314</v>
      </c>
      <c r="H28" s="2">
        <f t="shared" si="6"/>
        <v>511629.13886572124</v>
      </c>
      <c r="I28" s="2">
        <f t="shared" si="6"/>
        <v>8273119.9072972443</v>
      </c>
    </row>
    <row r="30" spans="2:9" x14ac:dyDescent="0.3">
      <c r="B30" t="s">
        <v>58</v>
      </c>
      <c r="D30" s="2">
        <f>D17-D18</f>
        <v>3000840.2981985882</v>
      </c>
      <c r="E30" s="2">
        <f t="shared" ref="E30:I30" si="7">E17-E18</f>
        <v>3609475.0505641741</v>
      </c>
      <c r="F30" s="2">
        <f t="shared" si="7"/>
        <v>4220955.2585461214</v>
      </c>
      <c r="G30" s="2">
        <f t="shared" si="7"/>
        <v>4835290.9379973924</v>
      </c>
      <c r="H30" s="2">
        <f t="shared" si="7"/>
        <v>5452492.1361394273</v>
      </c>
      <c r="I30" s="2">
        <f t="shared" si="7"/>
        <v>6072568.9316542679</v>
      </c>
    </row>
    <row r="31" spans="2:9" x14ac:dyDescent="0.3">
      <c r="B31" t="s">
        <v>56</v>
      </c>
      <c r="C31" s="2">
        <f>'Financial Information'!$C$21*'Sales EBIT Forecast'!C6</f>
        <v>54946236.559139781</v>
      </c>
      <c r="D31" s="2">
        <f>'Financial Information'!$C$21*'Sales EBIT Forecast'!D6</f>
        <v>10989247.311827956</v>
      </c>
      <c r="E31" s="2">
        <f>'Financial Information'!$C$21*'Sales EBIT Forecast'!E6</f>
        <v>10989247.311827956</v>
      </c>
      <c r="F31" s="2">
        <f>'Financial Information'!$C$21*'Sales EBIT Forecast'!F6</f>
        <v>10989247.311827956</v>
      </c>
      <c r="G31" s="2">
        <f>'Financial Information'!$C$21*'Sales EBIT Forecast'!G6</f>
        <v>10989247.311827956</v>
      </c>
      <c r="H31" s="2">
        <f>'Financial Information'!$C$21*'Sales EBIT Forecast'!H6</f>
        <v>10989247.311827956</v>
      </c>
      <c r="I31" s="2">
        <f>'Financial Information'!$C$21*'Sales EBIT Forecast'!I6</f>
        <v>0</v>
      </c>
    </row>
    <row r="34" spans="2:9" x14ac:dyDescent="0.3">
      <c r="B34" t="s">
        <v>57</v>
      </c>
      <c r="C34" s="2">
        <f>C23-C31</f>
        <v>-107656436.2595824</v>
      </c>
      <c r="D34" s="2">
        <f t="shared" ref="D34:I34" si="8">D23-D31</f>
        <v>-18623656.472202469</v>
      </c>
      <c r="E34" s="2">
        <f t="shared" si="8"/>
        <v>-18053744.112909943</v>
      </c>
      <c r="F34" s="2">
        <f t="shared" si="8"/>
        <v>-17481109.593033269</v>
      </c>
      <c r="G34" s="2">
        <f t="shared" si="8"/>
        <v>-16905743.262439214</v>
      </c>
      <c r="H34" s="2">
        <f t="shared" si="8"/>
        <v>-16327635.440664228</v>
      </c>
      <c r="I34" s="2">
        <f t="shared" si="8"/>
        <v>5934106.4478706187</v>
      </c>
    </row>
    <row r="35" spans="2:9" x14ac:dyDescent="0.3">
      <c r="B35" t="s">
        <v>65</v>
      </c>
    </row>
    <row r="37" spans="2:9" x14ac:dyDescent="0.3">
      <c r="B37" t="s">
        <v>66</v>
      </c>
      <c r="C37" s="2">
        <f>C34</f>
        <v>-107656436.2595824</v>
      </c>
      <c r="D37" s="2">
        <f>C37+D34</f>
        <v>-126280092.73178487</v>
      </c>
      <c r="E37" s="2">
        <f t="shared" ref="E37:I37" si="9">D37+E34</f>
        <v>-144333836.84469479</v>
      </c>
      <c r="F37" s="2">
        <f t="shared" si="9"/>
        <v>-161814946.43772805</v>
      </c>
      <c r="G37" s="2">
        <f t="shared" si="9"/>
        <v>-178720689.70016727</v>
      </c>
      <c r="H37" s="2">
        <f t="shared" si="9"/>
        <v>-195048325.1408315</v>
      </c>
      <c r="I37" s="2">
        <f t="shared" si="9"/>
        <v>-189114218.69296089</v>
      </c>
    </row>
    <row r="38" spans="2:9" x14ac:dyDescent="0.3">
      <c r="B38" t="s">
        <v>79</v>
      </c>
      <c r="C38" s="2">
        <f>C37+C27</f>
        <v>-107656436.2595824</v>
      </c>
      <c r="D38" s="2">
        <f t="shared" ref="D38:I38" si="10">D37+D27</f>
        <v>-126280092.73178487</v>
      </c>
      <c r="E38" s="2">
        <f t="shared" si="10"/>
        <v>-144333836.84469479</v>
      </c>
      <c r="F38" s="2">
        <f t="shared" si="10"/>
        <v>-161814946.43772805</v>
      </c>
      <c r="G38" s="2">
        <f t="shared" si="10"/>
        <v>-178720689.70016727</v>
      </c>
      <c r="H38" s="2">
        <f t="shared" si="10"/>
        <v>-194829055.50988904</v>
      </c>
      <c r="I38" s="2">
        <f t="shared" si="10"/>
        <v>-185568595.8755478</v>
      </c>
    </row>
    <row r="41" spans="2:9" x14ac:dyDescent="0.3">
      <c r="B41" t="s">
        <v>75</v>
      </c>
      <c r="C41" s="2">
        <f>C37*'Financial Information'!$C$29</f>
        <v>-56884760.493121929</v>
      </c>
      <c r="D41" s="2">
        <f>D37*'Financial Information'!$C$29</f>
        <v>-66725344.806845397</v>
      </c>
      <c r="E41" s="2">
        <f>E37*'Financial Information'!$C$29</f>
        <v>-76264792.196602181</v>
      </c>
      <c r="F41" s="2">
        <f>F37*'Financial Information'!$C$29</f>
        <v>-85501664.295507476</v>
      </c>
      <c r="G41" s="2">
        <f>G37*'Financial Information'!$C$29</f>
        <v>-94434517.637626782</v>
      </c>
      <c r="H41" s="2">
        <f>H37*'Financial Information'!$C$29</f>
        <v>-103061903.64194962</v>
      </c>
      <c r="I41" s="2">
        <f>I37*'Financial Information'!$C$29</f>
        <v>-99926371.427100137</v>
      </c>
    </row>
    <row r="42" spans="2:9" x14ac:dyDescent="0.3">
      <c r="B42" t="s">
        <v>76</v>
      </c>
      <c r="C42" s="2">
        <f>C37*'Financial Information'!$C$30</f>
        <v>-50771675.766460471</v>
      </c>
      <c r="D42" s="2">
        <f>D37*'Financial Information'!$C$30</f>
        <v>-59554747.924939469</v>
      </c>
      <c r="E42" s="2">
        <f>E37*'Financial Information'!$C$30</f>
        <v>-68069044.648092613</v>
      </c>
      <c r="F42" s="2">
        <f>F37*'Financial Information'!$C$30</f>
        <v>-76313282.142220572</v>
      </c>
      <c r="G42" s="2">
        <f>G37*'Financial Information'!$C$30</f>
        <v>-84286172.062540486</v>
      </c>
      <c r="H42" s="2">
        <f>H37*'Financial Information'!$C$30</f>
        <v>-91986421.498881876</v>
      </c>
      <c r="I42" s="2">
        <f>I37*'Financial Information'!$C$30</f>
        <v>-89187847.265860751</v>
      </c>
    </row>
    <row r="44" spans="2:9" x14ac:dyDescent="0.3">
      <c r="B44" t="s">
        <v>78</v>
      </c>
      <c r="C44" s="2">
        <f>C38*'Financial Information'!$C$44</f>
        <v>-7607536.5739751281</v>
      </c>
      <c r="D44" s="2">
        <f>D38*'Financial Information'!$C$44</f>
        <v>-8923576.3081142753</v>
      </c>
      <c r="E44" s="2">
        <f>E38*'Financial Information'!$C$44</f>
        <v>-10199343.21446982</v>
      </c>
      <c r="F44" s="2">
        <f>F38*'Financial Information'!$C$44</f>
        <v>-11434644.931703014</v>
      </c>
      <c r="G44" s="2">
        <f>G38*'Financial Information'!$C$44</f>
        <v>-12629288.416548932</v>
      </c>
      <c r="H44" s="2">
        <f>H38*'Financial Information'!$C$44</f>
        <v>-13767585.264393188</v>
      </c>
      <c r="I44" s="2">
        <f>I38*'Financial Information'!$C$44</f>
        <v>-13113195.356945358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7"/>
  <sheetViews>
    <sheetView workbookViewId="0">
      <selection activeCell="G12" sqref="G12"/>
    </sheetView>
  </sheetViews>
  <sheetFormatPr baseColWidth="10" defaultColWidth="8.88671875" defaultRowHeight="14.4" x14ac:dyDescent="0.3"/>
  <sheetData>
    <row r="2" spans="1:1" x14ac:dyDescent="0.3">
      <c r="A2" s="1" t="s">
        <v>32</v>
      </c>
    </row>
    <row r="3" spans="1:1" x14ac:dyDescent="0.3">
      <c r="A3" t="s">
        <v>33</v>
      </c>
    </row>
    <row r="6" spans="1:1" x14ac:dyDescent="0.3">
      <c r="A6" s="1" t="s">
        <v>5</v>
      </c>
    </row>
    <row r="7" spans="1:1" x14ac:dyDescent="0.3">
      <c r="A7" t="s">
        <v>34</v>
      </c>
    </row>
    <row r="8" spans="1:1" x14ac:dyDescent="0.3">
      <c r="A8" t="s">
        <v>38</v>
      </c>
    </row>
    <row r="9" spans="1:1" x14ac:dyDescent="0.3">
      <c r="A9" t="s">
        <v>39</v>
      </c>
    </row>
    <row r="12" spans="1:1" x14ac:dyDescent="0.3">
      <c r="A12" s="1" t="s">
        <v>46</v>
      </c>
    </row>
    <row r="13" spans="1:1" x14ac:dyDescent="0.3">
      <c r="A13" t="s">
        <v>47</v>
      </c>
    </row>
    <row r="16" spans="1:1" x14ac:dyDescent="0.3">
      <c r="A16" s="1" t="s">
        <v>54</v>
      </c>
    </row>
    <row r="17" spans="1:1" x14ac:dyDescent="0.3">
      <c r="A17" t="s">
        <v>55</v>
      </c>
    </row>
    <row r="18" spans="1:1" x14ac:dyDescent="0.3">
      <c r="A18" t="s">
        <v>77</v>
      </c>
    </row>
    <row r="20" spans="1:1" x14ac:dyDescent="0.3">
      <c r="A20" s="1" t="s">
        <v>59</v>
      </c>
    </row>
    <row r="21" spans="1:1" x14ac:dyDescent="0.3">
      <c r="A21" t="s">
        <v>60</v>
      </c>
    </row>
    <row r="22" spans="1:1" x14ac:dyDescent="0.3">
      <c r="A22" t="s">
        <v>63</v>
      </c>
    </row>
    <row r="23" spans="1:1" x14ac:dyDescent="0.3">
      <c r="A23" t="s">
        <v>64</v>
      </c>
    </row>
    <row r="25" spans="1:1" x14ac:dyDescent="0.3">
      <c r="A25" s="1" t="s">
        <v>67</v>
      </c>
    </row>
    <row r="26" spans="1:1" x14ac:dyDescent="0.3">
      <c r="A26" t="s">
        <v>68</v>
      </c>
    </row>
    <row r="27" spans="1:1" x14ac:dyDescent="0.3">
      <c r="A27" t="s">
        <v>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Title</vt:lpstr>
      <vt:lpstr>Scenario</vt:lpstr>
      <vt:lpstr>Financial Information Benchmark</vt:lpstr>
      <vt:lpstr>Financial Information</vt:lpstr>
      <vt:lpstr>Sales EBIT Forecast</vt:lpstr>
      <vt:lpstr>Assumption</vt:lpstr>
    </vt:vector>
  </TitlesOfParts>
  <Company>HTW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wohlgemv</dc:creator>
  <cp:lastModifiedBy>wohlgemv</cp:lastModifiedBy>
  <dcterms:created xsi:type="dcterms:W3CDTF">2017-08-10T06:56:08Z</dcterms:created>
  <dcterms:modified xsi:type="dcterms:W3CDTF">2017-08-28T13:24:01Z</dcterms:modified>
</cp:coreProperties>
</file>